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ютий" sheetId="1" r:id="rId1"/>
    <sheet name="січень-2" sheetId="2" r:id="rId2"/>
    <sheet name="січень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<sst xmlns="http://schemas.openxmlformats.org/spreadsheetml/2006/main" count="544" uniqueCount="228">
  <si>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</si>
  <si>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</si>
  <si>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</si>
  <si>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</si>
  <si>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</si>
  <si>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</si>
  <si>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</si>
  <si>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</si>
  <si>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</si>
  <si>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</si>
  <si>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</si>
  <si>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</si>
  <si>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</si>
  <si>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</si>
  <si>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</si>
  <si>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</si>
  <si>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</si>
  <si>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</si>
  <si>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</si>
  <si>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</si>
  <si>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</si>
  <si>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</si>
  <si>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</si>
  <si>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</si>
  <si>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</si>
  <si>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</si>
  <si>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</si>
  <si>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</si>
  <si>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</si>
  <si>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</si>
  <si>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</si>
  <si>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</si>
  <si>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</si>
  <si>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</si>
  <si>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</si>
  <si>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</si>
  <si>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</si>
  <si>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</si>
  <si>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</si>
  <si>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</si>
  <si>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</si>
  <si>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</si>
  <si>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</si>
  <si>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</si>
  <si>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</si>
  <si>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</si>
  <si>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</si>
  <si>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</si>
  <si>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</si>
  <si>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</si>
  <si>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</si>
  <si>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</si>
  <si>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</si>
  <si>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</si>
  <si>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</si>
  <si>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</si>
  <si>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</si>
  <si>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</si>
  <si>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</si>
  <si>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</si>
  <si>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</si>
  <si>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</si>
  <si>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</si>
  <si>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</si>
  <si>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</si>
  <si>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</si>
  <si>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</si>
  <si>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</si>
  <si>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</si>
  <si>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</si>
  <si>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</si>
  <si>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</si>
  <si>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</si>
  <si>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</si>
  <si>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</si>
  <si>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</si>
  <si>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</si>
  <si>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</si>
  <si>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</si>
  <si>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</si>
  <si>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</si>
  <si>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</si>
  <si>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</si>
  <si>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</si>
  <si>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</si>
  <si>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</si>
  <si>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</si>
  <si>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</si>
  <si>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</si>
  <si>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</si>
  <si>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</si>
  <si>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</si>
  <si>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</si>
  <si>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</si>
  <si>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</si>
  <si>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</si>
  <si>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</si>
  <si>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</si>
  <si>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</si>
  <si>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</si>
  <si>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</si>
  <si>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</si>
  <si>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</si>
  <si>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</si>
  <si>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</si>
  <si>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</si>
  <si>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</si>
  <si>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</si>
  <si>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</si>
  <si>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</si>
  <si>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</si>
  <si>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</si>
  <si>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</si>
  <si>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</si>
  <si>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</si>
  <si>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</si>
  <si>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</si>
  <si>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</si>
  <si>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</si>
  <si>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</si>
  <si>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</si>
  <si>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</si>
  <si>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</si>
  <si>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</si>
  <si>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</si>
  <si>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</si>
  <si>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</si>
  <si>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</si>
  <si>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</si>
  <si>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</si>
  <si>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</si>
  <si>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</si>
  <si>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</si>
  <si>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</si>
  <si>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</si>
  <si>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</si>
  <si>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</si>
  <si>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</si>
  <si>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</si>
  <si>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</si>
  <si>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</si>
  <si>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</si>
  <si>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</si>
  <si>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</si>
  <si>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</si>
  <si>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</si>
  <si>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</si>
  <si>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</si>
  <si>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</si>
  <si>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</si>
  <si>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</si>
  <si>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</si>
  <si>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</si>
  <si>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</si>
  <si>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</si>
  <si>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</si>
  <si>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</si>
  <si>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</si>
  <si>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</si>
  <si>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</si>
  <si>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</si>
  <si>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</si>
  <si>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</si>
  <si>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</si>
  <si>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</si>
  <si>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</si>
  <si>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</si>
  <si>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</si>
  <si>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</si>
  <si>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</si>
  <si>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</si>
  <si>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</si>
  <si>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</si>
  <si>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</si>
  <si>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</si>
  <si>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</si>
  <si>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</si>
  <si>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</si>
  <si>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</si>
  <si>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</si>
  <si>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</si>
  <si>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</si>
  <si>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</si>
  <si>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</si>
  <si>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</si>
  <si>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</si>
  <si>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</si>
  <si>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</si>
  <si>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</si>
  <si>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</si>
  <si>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</si>
  <si>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</si>
  <si>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</si>
  <si>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</si>
  <si>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</si>
  <si>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</si>
  <si>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</si>
  <si>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</si>
  <si>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</si>
  <si>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</si>
  <si>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</si>
  <si>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</si>
  <si>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</si>
  <si>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</si>
  <si>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</si>
  <si>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</si>
  <si>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</si>
  <si>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</si>
  <si>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</si>
  <si>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</si>
  <si>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</si>
  <si>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</si>
  <si>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</si>
  <si>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</si>
  <si>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</si>
  <si>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</si>
  <si>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</si>
  <si>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</si>
  <si>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</si>
  <si>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</si>
  <si>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</si>
  <si>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</si>
  <si>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</si>
  <si>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</si>
  <si>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</si>
  <si>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</si>
  <si>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24.02.2015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</si>
  <si>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23.02.15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</si>
</sst>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lef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1"/>
      <sheetName val="депозит"/>
      <sheetName val="залишки  (2)"/>
      <sheetName val="надх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7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4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16" sqref="H11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8" t="s">
        <v>226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205</v>
      </c>
      <c r="C3" s="213" t="s">
        <v>0</v>
      </c>
      <c r="D3" s="214" t="s">
        <v>216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221</v>
      </c>
      <c r="N3" s="219" t="s">
        <v>202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199</v>
      </c>
      <c r="F4" s="202" t="s">
        <v>116</v>
      </c>
      <c r="G4" s="204" t="s">
        <v>200</v>
      </c>
      <c r="H4" s="206" t="s">
        <v>201</v>
      </c>
      <c r="I4" s="199" t="s">
        <v>217</v>
      </c>
      <c r="J4" s="195" t="s">
        <v>218</v>
      </c>
      <c r="K4" s="116" t="s">
        <v>172</v>
      </c>
      <c r="L4" s="121" t="s">
        <v>171</v>
      </c>
      <c r="M4" s="195"/>
      <c r="N4" s="197" t="s">
        <v>227</v>
      </c>
      <c r="O4" s="199" t="s">
        <v>136</v>
      </c>
      <c r="P4" s="201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07"/>
      <c r="I5" s="200"/>
      <c r="J5" s="196"/>
      <c r="K5" s="192" t="s">
        <v>224</v>
      </c>
      <c r="L5" s="193"/>
      <c r="M5" s="196"/>
      <c r="N5" s="198"/>
      <c r="O5" s="200"/>
      <c r="P5" s="201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76659.27000000002</v>
      </c>
      <c r="G8" s="18">
        <f aca="true" t="shared" si="0" ref="G8:G42">F8-E8</f>
        <v>-2448.7299999999814</v>
      </c>
      <c r="H8" s="45">
        <f>F8/E8*100</f>
        <v>96.90457349446329</v>
      </c>
      <c r="I8" s="31">
        <f aca="true" t="shared" si="1" ref="I8:I42">F8-D8</f>
        <v>-440769.73</v>
      </c>
      <c r="J8" s="31">
        <f aca="true" t="shared" si="2" ref="J8:J14">F8/D8*100</f>
        <v>14.81541815398828</v>
      </c>
      <c r="K8" s="18">
        <f>K10+K19+K30+K33+K34+K42</f>
        <v>4323.9780000000055</v>
      </c>
      <c r="L8" s="18"/>
      <c r="M8" s="18">
        <f>M10+M19+M30+M33+M34+M42</f>
        <v>44056.1</v>
      </c>
      <c r="N8" s="18">
        <f>N10+N19+N30+N33+N34+N42</f>
        <v>38944.954</v>
      </c>
      <c r="O8" s="31">
        <f aca="true" t="shared" si="3" ref="O8:O45">N8-M8</f>
        <v>-5111.146000000001</v>
      </c>
      <c r="P8" s="31">
        <f>F8/M8*100</f>
        <v>174.00375884383777</v>
      </c>
      <c r="Q8" s="31">
        <f>N8-33748.16</f>
        <v>5196.793999999994</v>
      </c>
      <c r="R8" s="125">
        <f>N8/33748.16</f>
        <v>1.1539874766505787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43885.53</v>
      </c>
      <c r="G9" s="18">
        <f t="shared" si="0"/>
        <v>43885.53</v>
      </c>
      <c r="H9" s="16"/>
      <c r="I9" s="50">
        <f t="shared" si="1"/>
        <v>-268804.47</v>
      </c>
      <c r="J9" s="50">
        <f t="shared" si="2"/>
        <v>14.034836419456969</v>
      </c>
      <c r="K9" s="50"/>
      <c r="L9" s="50"/>
      <c r="M9" s="16">
        <f>M10+M17</f>
        <v>23924</v>
      </c>
      <c r="N9" s="16">
        <f>N10+N17</f>
        <v>20676.153999999995</v>
      </c>
      <c r="O9" s="31">
        <f t="shared" si="3"/>
        <v>-3247.846000000005</v>
      </c>
      <c r="P9" s="50">
        <f>F9/M9*100</f>
        <v>183.43725965557599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43885.53</v>
      </c>
      <c r="G10" s="43">
        <f t="shared" si="0"/>
        <v>-1043.8700000000026</v>
      </c>
      <c r="H10" s="35">
        <f aca="true" t="shared" si="4" ref="H10:H42">F10/E10*100</f>
        <v>97.67664380116359</v>
      </c>
      <c r="I10" s="50">
        <f t="shared" si="1"/>
        <v>-268804.47</v>
      </c>
      <c r="J10" s="50">
        <f t="shared" si="2"/>
        <v>14.034836419456969</v>
      </c>
      <c r="K10" s="132">
        <f>F10-54745.99/75*60</f>
        <v>88.73800000000483</v>
      </c>
      <c r="L10" s="132">
        <f>F10/(54745.99/75*60)*100</f>
        <v>100.20261301330015</v>
      </c>
      <c r="M10" s="35">
        <f>E10-'січень-2'!E10</f>
        <v>23924</v>
      </c>
      <c r="N10" s="35">
        <f>F10-'січень-2'!F10</f>
        <v>20676.153999999995</v>
      </c>
      <c r="O10" s="47">
        <f t="shared" si="3"/>
        <v>-3247.846000000005</v>
      </c>
      <c r="P10" s="50">
        <f aca="true" t="shared" si="5" ref="P10:P42">N10/M10*100</f>
        <v>86.4243186758067</v>
      </c>
      <c r="Q10" s="132">
        <f>N10-26568.11</f>
        <v>-5891.956000000006</v>
      </c>
      <c r="R10" s="133">
        <f>N10/26568.11</f>
        <v>0.7782320232790362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-523.38</v>
      </c>
      <c r="G19" s="43">
        <f t="shared" si="0"/>
        <v>-523.38</v>
      </c>
      <c r="H19" s="35"/>
      <c r="I19" s="50">
        <f t="shared" si="1"/>
        <v>-1023.38</v>
      </c>
      <c r="J19" s="50">
        <f aca="true" t="shared" si="6" ref="J19:J30">F19/D19*100</f>
        <v>-104.67599999999999</v>
      </c>
      <c r="K19" s="50">
        <f>F19-739.11</f>
        <v>-1262.49</v>
      </c>
      <c r="L19" s="50">
        <f>F19/739.11*100</f>
        <v>-70.81219304298413</v>
      </c>
      <c r="M19" s="35">
        <f>E19-'січень-2'!E19</f>
        <v>0</v>
      </c>
      <c r="N19" s="35">
        <f>F19-'січень-2'!F19</f>
        <v>42.960000000000036</v>
      </c>
      <c r="O19" s="47">
        <f t="shared" si="3"/>
        <v>42.960000000000036</v>
      </c>
      <c r="P19" s="50"/>
      <c r="Q19" s="50">
        <f>N19-358.81</f>
        <v>-315.84999999999997</v>
      </c>
      <c r="R19" s="126">
        <f>N19/358.81</f>
        <v>0.11972910454000735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-413.88</v>
      </c>
      <c r="G29" s="135">
        <f t="shared" si="0"/>
        <v>-413.88</v>
      </c>
      <c r="H29" s="137"/>
      <c r="I29" s="136">
        <f t="shared" si="1"/>
        <v>-413.88</v>
      </c>
      <c r="J29" s="136"/>
      <c r="K29" s="136">
        <f>F29-717.64</f>
        <v>-1131.52</v>
      </c>
      <c r="L29" s="136">
        <f>F29/717.64*100</f>
        <v>-57.67237054790703</v>
      </c>
      <c r="M29" s="137">
        <f>E29-'січень-2'!E29</f>
        <v>0</v>
      </c>
      <c r="N29" s="137">
        <f>F29-'січень-2'!F29</f>
        <v>24.470000000000027</v>
      </c>
      <c r="O29" s="138">
        <f t="shared" si="3"/>
        <v>24.470000000000027</v>
      </c>
      <c r="P29" s="50"/>
      <c r="Q29" s="136">
        <f>N29-358.81</f>
        <v>-334.34</v>
      </c>
      <c r="R29" s="141">
        <f>N29/358.79</f>
        <v>0.06820145489004717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197.48</v>
      </c>
      <c r="G33" s="43">
        <f t="shared" si="0"/>
        <v>-2522.52</v>
      </c>
      <c r="H33" s="35">
        <f t="shared" si="4"/>
        <v>7.2602941176470575</v>
      </c>
      <c r="I33" s="50">
        <f t="shared" si="1"/>
        <v>-29752.52</v>
      </c>
      <c r="J33" s="178">
        <f>F33/D33*100</f>
        <v>0.6593656093489149</v>
      </c>
      <c r="K33" s="179">
        <f>F33-0</f>
        <v>197.48</v>
      </c>
      <c r="L33" s="180"/>
      <c r="M33" s="35">
        <f>E33-'січень-2'!E33</f>
        <v>2720</v>
      </c>
      <c r="N33" s="35">
        <f>F33-'січень-2'!F33</f>
        <v>197.48</v>
      </c>
      <c r="O33" s="47">
        <f t="shared" si="3"/>
        <v>-2522.52</v>
      </c>
      <c r="P33" s="50">
        <f t="shared" si="5"/>
        <v>7.2602941176470575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31084.850000000002</v>
      </c>
      <c r="G34" s="43">
        <f t="shared" si="0"/>
        <v>1624.3500000000022</v>
      </c>
      <c r="H34" s="35">
        <f t="shared" si="4"/>
        <v>105.51365387552825</v>
      </c>
      <c r="I34" s="50">
        <f t="shared" si="1"/>
        <v>-135685.15</v>
      </c>
      <c r="J34" s="178">
        <f aca="true" t="shared" si="11" ref="J34:J42">F34/D34*100</f>
        <v>18.639353600767524</v>
      </c>
      <c r="K34" s="178">
        <f>K35+K39+K40+K41</f>
        <v>6773.01</v>
      </c>
      <c r="L34" s="136"/>
      <c r="M34" s="35">
        <f>E34-'січень-2'!E34</f>
        <v>15424</v>
      </c>
      <c r="N34" s="35">
        <f>F34-'січень-2'!F34</f>
        <v>16022.580000000004</v>
      </c>
      <c r="O34" s="47">
        <f t="shared" si="3"/>
        <v>598.5800000000036</v>
      </c>
      <c r="P34" s="50">
        <f t="shared" si="5"/>
        <v>103.88083506224068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9428.49</v>
      </c>
      <c r="G35" s="43">
        <f t="shared" si="0"/>
        <v>-4326.01</v>
      </c>
      <c r="H35" s="35">
        <f t="shared" si="4"/>
        <v>68.54840234105201</v>
      </c>
      <c r="I35" s="50">
        <f t="shared" si="1"/>
        <v>-88771.51</v>
      </c>
      <c r="J35" s="178">
        <f t="shared" si="11"/>
        <v>9.601313645621183</v>
      </c>
      <c r="K35" s="178">
        <f>K36+K37+K38</f>
        <v>3080.89</v>
      </c>
      <c r="L35" s="136"/>
      <c r="M35" s="35">
        <f>E35-'січень-2'!E35</f>
        <v>7220</v>
      </c>
      <c r="N35" s="35">
        <f>F35-'січень-2'!F35</f>
        <v>2845.8099999999995</v>
      </c>
      <c r="O35" s="47">
        <f t="shared" si="3"/>
        <v>-4374.1900000000005</v>
      </c>
      <c r="P35" s="50">
        <f t="shared" si="5"/>
        <v>39.41565096952908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153.57</v>
      </c>
      <c r="G36" s="135">
        <f t="shared" si="0"/>
        <v>49.06999999999999</v>
      </c>
      <c r="H36" s="137">
        <f t="shared" si="4"/>
        <v>146.95693779904306</v>
      </c>
      <c r="I36" s="136">
        <f t="shared" si="1"/>
        <v>-846.4300000000001</v>
      </c>
      <c r="J36" s="136">
        <f t="shared" si="11"/>
        <v>15.357</v>
      </c>
      <c r="K36" s="136">
        <f>F36-54.3</f>
        <v>99.27</v>
      </c>
      <c r="L36" s="136">
        <f>F36/54.3*100</f>
        <v>282.8176795580111</v>
      </c>
      <c r="M36" s="137">
        <f>E36-'січень-2'!E36</f>
        <v>20</v>
      </c>
      <c r="N36" s="137">
        <f>F36-'січень-2'!F36</f>
        <v>68.89999999999999</v>
      </c>
      <c r="O36" s="47">
        <f t="shared" si="3"/>
        <v>48.89999999999999</v>
      </c>
      <c r="P36" s="50">
        <f t="shared" si="5"/>
        <v>344.49999999999994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9268.67</v>
      </c>
      <c r="G38" s="135">
        <f t="shared" si="0"/>
        <v>-4381.33</v>
      </c>
      <c r="H38" s="137">
        <f t="shared" si="4"/>
        <v>67.90234432234432</v>
      </c>
      <c r="I38" s="136">
        <f t="shared" si="1"/>
        <v>-86431.33</v>
      </c>
      <c r="J38" s="136">
        <f t="shared" si="11"/>
        <v>9.685130616509927</v>
      </c>
      <c r="K38" s="139">
        <f>F38-6293.3</f>
        <v>2975.37</v>
      </c>
      <c r="L38" s="139">
        <f>F38/6293.3*100</f>
        <v>147.278375415124</v>
      </c>
      <c r="M38" s="137">
        <f>E38-'січень-2'!E38</f>
        <v>7200</v>
      </c>
      <c r="N38" s="137">
        <f>F38-'січень-2'!F38</f>
        <v>2770.66</v>
      </c>
      <c r="O38" s="47">
        <f t="shared" si="3"/>
        <v>-4429.34</v>
      </c>
      <c r="P38" s="50">
        <f t="shared" si="5"/>
        <v>38.48138888888889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13.12</v>
      </c>
      <c r="G39" s="43">
        <f t="shared" si="0"/>
        <v>7.119999999999999</v>
      </c>
      <c r="H39" s="35">
        <f t="shared" si="4"/>
        <v>218.66666666666666</v>
      </c>
      <c r="I39" s="50">
        <f t="shared" si="1"/>
        <v>-56.88</v>
      </c>
      <c r="J39" s="178">
        <f t="shared" si="11"/>
        <v>18.74285714285714</v>
      </c>
      <c r="K39" s="178">
        <f>F39-15.44</f>
        <v>-2.3200000000000003</v>
      </c>
      <c r="L39" s="178">
        <f>F39/15.44*100</f>
        <v>84.97409326424871</v>
      </c>
      <c r="M39" s="35">
        <f>E39-'січень-2'!E39</f>
        <v>4</v>
      </c>
      <c r="N39" s="35">
        <f>F39-'січень-2'!F39</f>
        <v>10.719999999999999</v>
      </c>
      <c r="O39" s="47">
        <f t="shared" si="3"/>
        <v>6.719999999999999</v>
      </c>
      <c r="P39" s="50">
        <f t="shared" si="5"/>
        <v>268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106.63</v>
      </c>
      <c r="G40" s="43">
        <f t="shared" si="0"/>
        <v>106.63</v>
      </c>
      <c r="H40" s="35"/>
      <c r="I40" s="50">
        <f t="shared" si="1"/>
        <v>106.63</v>
      </c>
      <c r="J40" s="136"/>
      <c r="K40" s="178">
        <f>F40-1067.46</f>
        <v>-960.83</v>
      </c>
      <c r="L40" s="178">
        <f>F40/1067.46*100</f>
        <v>9.98913308227006</v>
      </c>
      <c r="M40" s="35">
        <f>E40-'січень-2'!E40</f>
        <v>0</v>
      </c>
      <c r="N40" s="35">
        <f>F40-'січень-2'!F40</f>
        <v>-36.08000000000001</v>
      </c>
      <c r="O40" s="47">
        <f t="shared" si="3"/>
        <v>-36.08000000000001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21536.61</v>
      </c>
      <c r="G41" s="43">
        <f t="shared" si="0"/>
        <v>5836.610000000001</v>
      </c>
      <c r="H41" s="35">
        <f t="shared" si="4"/>
        <v>137.17585987261148</v>
      </c>
      <c r="I41" s="50">
        <f t="shared" si="1"/>
        <v>-46963.39</v>
      </c>
      <c r="J41" s="178">
        <f t="shared" si="11"/>
        <v>31.44030656934307</v>
      </c>
      <c r="K41" s="132">
        <f>F41-16881.34</f>
        <v>4655.27</v>
      </c>
      <c r="L41" s="132">
        <f>F41/16881.34*100</f>
        <v>127.57642462032041</v>
      </c>
      <c r="M41" s="35">
        <f>E41-'січень-2'!E41</f>
        <v>8200</v>
      </c>
      <c r="N41" s="35">
        <f>F41-'січень-2'!F41</f>
        <v>13202.130000000001</v>
      </c>
      <c r="O41" s="47">
        <f t="shared" si="3"/>
        <v>5002.130000000001</v>
      </c>
      <c r="P41" s="50">
        <f t="shared" si="5"/>
        <v>161.00158536585369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1998.99</v>
      </c>
      <c r="G42" s="43">
        <f t="shared" si="0"/>
        <v>13.8900000000001</v>
      </c>
      <c r="H42" s="35">
        <f t="shared" si="4"/>
        <v>100.69971286081308</v>
      </c>
      <c r="I42" s="50">
        <f t="shared" si="1"/>
        <v>-5501.01</v>
      </c>
      <c r="J42" s="136">
        <f t="shared" si="11"/>
        <v>26.6532</v>
      </c>
      <c r="K42" s="178">
        <f>F42-3484.64</f>
        <v>-1485.6499999999999</v>
      </c>
      <c r="L42" s="178">
        <f>F42/3484.64*100</f>
        <v>57.36575370770009</v>
      </c>
      <c r="M42" s="35">
        <f>E42-'січень-2'!E42</f>
        <v>1975.1</v>
      </c>
      <c r="N42" s="35">
        <f>F42-'січень-2'!F42</f>
        <v>1990.1</v>
      </c>
      <c r="O42" s="47">
        <f t="shared" si="3"/>
        <v>15</v>
      </c>
      <c r="P42" s="50">
        <f t="shared" si="5"/>
        <v>100.75945521745734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4621.26</v>
      </c>
      <c r="G48" s="44">
        <f aca="true" t="shared" si="12" ref="G48:G81">F48-E48</f>
        <v>2540.76</v>
      </c>
      <c r="H48" s="45">
        <f aca="true" t="shared" si="13" ref="H48:H59">F48/E48*100</f>
        <v>222.12256669069936</v>
      </c>
      <c r="I48" s="31">
        <f aca="true" t="shared" si="14" ref="I48:I81">F48-D48</f>
        <v>-7945.84</v>
      </c>
      <c r="J48" s="31">
        <f aca="true" t="shared" si="15" ref="J48:J66">F48/D48*100</f>
        <v>36.772684231047734</v>
      </c>
      <c r="K48" s="18">
        <f>K51+K60+K61+K62+K63+K71+K72+K73+K75+K79+K70</f>
        <v>2500.37</v>
      </c>
      <c r="L48" s="18"/>
      <c r="M48" s="18">
        <f>M51+M60+M61+M62+M63+M71+M72+M73+M75+M79+M70+M69</f>
        <v>1040.5</v>
      </c>
      <c r="N48" s="18">
        <f>N51+N60+N61+N62+N63+N71+N72+N73+N75+N79+N70+N69</f>
        <v>3598.88</v>
      </c>
      <c r="O48" s="49">
        <f aca="true" t="shared" si="16" ref="O48:O81">N48-M48</f>
        <v>2558.38</v>
      </c>
      <c r="P48" s="31">
        <f>N48/M48*100</f>
        <v>345.8798654493032</v>
      </c>
      <c r="Q48" s="31">
        <f>N48-1017.63</f>
        <v>2581.25</v>
      </c>
      <c r="R48" s="127">
        <f>N48/1017.63</f>
        <v>3.5365309591894896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0.3</v>
      </c>
      <c r="G51" s="43">
        <f t="shared" si="12"/>
        <v>-24.7</v>
      </c>
      <c r="H51" s="35">
        <f t="shared" si="13"/>
        <v>1.2</v>
      </c>
      <c r="I51" s="50">
        <f t="shared" si="14"/>
        <v>-199.7</v>
      </c>
      <c r="J51" s="50">
        <f t="shared" si="15"/>
        <v>0.15</v>
      </c>
      <c r="K51" s="50">
        <f>F51-15.87</f>
        <v>-15.569999999999999</v>
      </c>
      <c r="L51" s="50">
        <f>F51/15.87*100</f>
        <v>1.890359168241966</v>
      </c>
      <c r="M51" s="35">
        <f>E51-'січень-2'!E51</f>
        <v>20</v>
      </c>
      <c r="N51" s="35">
        <f>F51-'січень-2'!F51</f>
        <v>0.3</v>
      </c>
      <c r="O51" s="47">
        <f t="shared" si="16"/>
        <v>-19.7</v>
      </c>
      <c r="P51" s="50">
        <f aca="true" t="shared" si="17" ref="P51:P59">N51/M51*100</f>
        <v>1.5</v>
      </c>
      <c r="Q51" s="50">
        <f>N51-0</f>
        <v>0.3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2"/>
        <v>1.67</v>
      </c>
      <c r="H61" s="35"/>
      <c r="I61" s="50">
        <f t="shared" si="14"/>
        <v>1.67</v>
      </c>
      <c r="J61" s="50"/>
      <c r="K61" s="50">
        <f>F61-97.38</f>
        <v>-95.71</v>
      </c>
      <c r="L61" s="50">
        <f>F61/97.38*100</f>
        <v>1.7149311973711234</v>
      </c>
      <c r="M61" s="35">
        <f>E61-'січень-2'!E61</f>
        <v>0</v>
      </c>
      <c r="N61" s="35">
        <f>F61-'січень-2'!F61</f>
        <v>0</v>
      </c>
      <c r="O61" s="47">
        <f t="shared" si="16"/>
        <v>0</v>
      </c>
      <c r="P61" s="50"/>
      <c r="Q61" s="50">
        <f>N61-4.23</f>
        <v>-4.23</v>
      </c>
      <c r="R61" s="126">
        <f>N61/4.23</f>
        <v>0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14.92</v>
      </c>
      <c r="G63" s="43">
        <f t="shared" si="12"/>
        <v>-1.08</v>
      </c>
      <c r="H63" s="35">
        <f>F63/E63*100</f>
        <v>93.25</v>
      </c>
      <c r="I63" s="50">
        <f t="shared" si="14"/>
        <v>-125.08</v>
      </c>
      <c r="J63" s="50">
        <v>10</v>
      </c>
      <c r="K63" s="50">
        <f aca="true" t="shared" si="20" ref="K63:K68">F63-19.41</f>
        <v>-4.49</v>
      </c>
      <c r="L63" s="50">
        <f>F63/19.41*100</f>
        <v>76.86759402369913</v>
      </c>
      <c r="M63" s="35">
        <f>E63-'січень-2'!E63</f>
        <v>10</v>
      </c>
      <c r="N63" s="35">
        <f>F63-'січень-2'!F63</f>
        <v>7.32</v>
      </c>
      <c r="O63" s="47">
        <f t="shared" si="16"/>
        <v>-2.6799999999999997</v>
      </c>
      <c r="P63" s="50">
        <f>N63/M63*100</f>
        <v>73.2</v>
      </c>
      <c r="Q63" s="50">
        <f>N63-9.02</f>
        <v>-1.6999999999999993</v>
      </c>
      <c r="R63" s="126">
        <f>N63/9.02</f>
        <v>0.8115299334811531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1495.75</v>
      </c>
      <c r="G70" s="43">
        <f t="shared" si="12"/>
        <v>1495.75</v>
      </c>
      <c r="H70" s="35"/>
      <c r="I70" s="50">
        <f t="shared" si="14"/>
        <v>1495.75</v>
      </c>
      <c r="J70" s="50"/>
      <c r="K70" s="50">
        <f>F70-0</f>
        <v>1495.75</v>
      </c>
      <c r="L70" s="50"/>
      <c r="M70" s="35">
        <f>E691</f>
        <v>0</v>
      </c>
      <c r="N70" s="35">
        <f>F70-0</f>
        <v>1495.75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1227.2</v>
      </c>
      <c r="G72" s="43">
        <f t="shared" si="12"/>
        <v>1078.2</v>
      </c>
      <c r="H72" s="35">
        <f>F72/E72*100</f>
        <v>823.6241610738256</v>
      </c>
      <c r="I72" s="50">
        <f t="shared" si="14"/>
        <v>127.20000000000005</v>
      </c>
      <c r="J72" s="50">
        <v>90</v>
      </c>
      <c r="K72" s="50">
        <f>F72-126.54</f>
        <v>1100.66</v>
      </c>
      <c r="L72" s="50">
        <f>F72/126.54*100</f>
        <v>969.8119171803382</v>
      </c>
      <c r="M72" s="35">
        <f>E72-'січень-2'!E70</f>
        <v>90</v>
      </c>
      <c r="N72" s="35">
        <f>F72-'січень-2'!F70</f>
        <v>1167.99</v>
      </c>
      <c r="O72" s="47">
        <f t="shared" si="16"/>
        <v>1077.99</v>
      </c>
      <c r="P72" s="50">
        <f>N72/M72*100</f>
        <v>1297.7666666666667</v>
      </c>
      <c r="Q72" s="50">
        <f>N72-79.51</f>
        <v>1088.48</v>
      </c>
      <c r="R72" s="126">
        <f>N72/79.51</f>
        <v>14.689850333291409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561.72</v>
      </c>
      <c r="G75" s="43">
        <f t="shared" si="12"/>
        <v>-88.27999999999997</v>
      </c>
      <c r="H75" s="35">
        <f>F75/E75*100</f>
        <v>86.41846153846154</v>
      </c>
      <c r="I75" s="50">
        <f t="shared" si="14"/>
        <v>-3638.2799999999997</v>
      </c>
      <c r="J75" s="50">
        <f>F75/D75*100</f>
        <v>13.374285714285714</v>
      </c>
      <c r="K75" s="50">
        <f>F75-652</f>
        <v>-90.27999999999997</v>
      </c>
      <c r="L75" s="50">
        <f>F75/652*100</f>
        <v>86.15337423312884</v>
      </c>
      <c r="M75" s="35">
        <f>E75-'січень-2'!M73</f>
        <v>370</v>
      </c>
      <c r="N75" s="35">
        <f>F75-'січень-2'!F73</f>
        <v>298.52000000000004</v>
      </c>
      <c r="O75" s="47">
        <f t="shared" si="16"/>
        <v>-71.47999999999996</v>
      </c>
      <c r="P75" s="50">
        <f t="shared" si="21"/>
        <v>80.68108108108109</v>
      </c>
      <c r="Q75" s="50">
        <f>N75-277.38</f>
        <v>21.140000000000043</v>
      </c>
      <c r="R75" s="126">
        <f>N75/277.38</f>
        <v>1.0762131372124883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136.6</v>
      </c>
      <c r="G78" s="135">
        <f t="shared" si="12"/>
        <v>136.6</v>
      </c>
      <c r="H78" s="137"/>
      <c r="I78" s="136">
        <f t="shared" si="14"/>
        <v>136.6</v>
      </c>
      <c r="J78" s="136"/>
      <c r="K78" s="136">
        <f>F78-130.1</f>
        <v>6.5</v>
      </c>
      <c r="L78" s="138">
        <f>F78/130.1*100</f>
        <v>104.99615680245964</v>
      </c>
      <c r="M78" s="137">
        <f>E78-'січень-2'!M76</f>
        <v>0</v>
      </c>
      <c r="N78" s="137">
        <f>F78-'січень-2'!F76</f>
        <v>54.69999999999999</v>
      </c>
      <c r="O78" s="138">
        <f t="shared" si="16"/>
        <v>54.69999999999999</v>
      </c>
      <c r="P78" s="136"/>
      <c r="Q78" s="50">
        <f>N78-64.93</f>
        <v>-10.230000000000018</v>
      </c>
      <c r="R78" s="126">
        <f>N78/64.93</f>
        <v>0.8424457107654394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2.04</v>
      </c>
      <c r="G80" s="43">
        <f t="shared" si="12"/>
        <v>-1.96</v>
      </c>
      <c r="H80" s="35">
        <f>F80/E80*100</f>
        <v>51</v>
      </c>
      <c r="I80" s="50">
        <f t="shared" si="14"/>
        <v>-24.46</v>
      </c>
      <c r="J80" s="50">
        <f>F80/D80*100</f>
        <v>7.698113207547171</v>
      </c>
      <c r="K80" s="50">
        <f>F80-2.7</f>
        <v>-0.6600000000000001</v>
      </c>
      <c r="L80" s="50">
        <f>F80/2.7*100</f>
        <v>75.55555555555556</v>
      </c>
      <c r="M80" s="35">
        <f>E80-'січень-2'!M78</f>
        <v>2.2</v>
      </c>
      <c r="N80" s="35">
        <f>F80-'січень-2'!F78</f>
        <v>0.24</v>
      </c>
      <c r="O80" s="47">
        <f t="shared" si="16"/>
        <v>-1.9600000000000002</v>
      </c>
      <c r="P80" s="50">
        <f t="shared" si="21"/>
        <v>10.909090909090907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81282.59000000001</v>
      </c>
      <c r="G82" s="44">
        <f>F82-E82</f>
        <v>90.09000000001106</v>
      </c>
      <c r="H82" s="45">
        <f>F82/E82*100</f>
        <v>100.11095852449428</v>
      </c>
      <c r="I82" s="31">
        <f>F82-D82</f>
        <v>-448740.00999999995</v>
      </c>
      <c r="J82" s="31">
        <f>F82/D82*100</f>
        <v>15.335683799143663</v>
      </c>
      <c r="K82" s="31">
        <f>K8+K48+K80+K81</f>
        <v>6823.708000000006</v>
      </c>
      <c r="L82" s="31"/>
      <c r="M82" s="18">
        <f>M8+M48+M80+M81</f>
        <v>45098.799999999996</v>
      </c>
      <c r="N82" s="18">
        <f>N8+N48+N80+N81</f>
        <v>42544.07399999999</v>
      </c>
      <c r="O82" s="49">
        <f>N82-M82</f>
        <v>-2554.7260000000024</v>
      </c>
      <c r="P82" s="31">
        <f>N82/M82*100</f>
        <v>94.3352683441688</v>
      </c>
      <c r="Q82" s="31">
        <f>N82-34768</f>
        <v>7776.073999999993</v>
      </c>
      <c r="R82" s="171">
        <f>N82/34768</f>
        <v>1.2236560630464792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-8.06</v>
      </c>
      <c r="G87" s="43">
        <f aca="true" t="shared" si="22" ref="G87:G95">F87-E87</f>
        <v>-8.06</v>
      </c>
      <c r="H87" s="35"/>
      <c r="I87" s="53">
        <f aca="true" t="shared" si="23" ref="I87:I94">F87-D87</f>
        <v>-8.06</v>
      </c>
      <c r="J87" s="53"/>
      <c r="K87" s="47">
        <f>F87-(-7.2)</f>
        <v>-0.8600000000000003</v>
      </c>
      <c r="L87" s="53"/>
      <c r="M87" s="35">
        <f>E87-'січень-2'!E85</f>
        <v>0</v>
      </c>
      <c r="N87" s="35">
        <f>F87-'січень-2'!F85</f>
        <v>-12.46</v>
      </c>
      <c r="O87" s="47">
        <f aca="true" t="shared" si="24" ref="O87:O95">N87-M87</f>
        <v>-12.46</v>
      </c>
      <c r="P87" s="53"/>
      <c r="Q87" s="53">
        <f>N87-24.53</f>
        <v>-36.99</v>
      </c>
      <c r="R87" s="129">
        <f>N87/24.53</f>
        <v>-0.5079494496534855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-8.06</v>
      </c>
      <c r="G88" s="55">
        <f t="shared" si="22"/>
        <v>-8.06</v>
      </c>
      <c r="H88" s="65"/>
      <c r="I88" s="54">
        <f t="shared" si="23"/>
        <v>-8.06</v>
      </c>
      <c r="J88" s="54"/>
      <c r="K88" s="54">
        <f>F88-(-7.15)</f>
        <v>-0.9100000000000001</v>
      </c>
      <c r="L88" s="54">
        <f>F88/223.32*100</f>
        <v>-3.6091706967580155</v>
      </c>
      <c r="M88" s="55">
        <f>M87</f>
        <v>0</v>
      </c>
      <c r="N88" s="33">
        <f>SUM(N87:N87)</f>
        <v>-12.46</v>
      </c>
      <c r="O88" s="54">
        <f t="shared" si="24"/>
        <v>-12.46</v>
      </c>
      <c r="P88" s="54"/>
      <c r="Q88" s="54">
        <f>N88-92.85</f>
        <v>-105.31</v>
      </c>
      <c r="R88" s="130">
        <f>N88/92.85</f>
        <v>-0.1341949380721594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0.07</v>
      </c>
      <c r="G90" s="43">
        <f t="shared" si="22"/>
        <v>0.07</v>
      </c>
      <c r="H90" s="35"/>
      <c r="I90" s="53">
        <f t="shared" si="23"/>
        <v>-2499.93</v>
      </c>
      <c r="J90" s="53">
        <f t="shared" si="26"/>
        <v>0.0028000000000000004</v>
      </c>
      <c r="K90" s="53">
        <f>F90-475.9</f>
        <v>-475.83</v>
      </c>
      <c r="L90" s="53">
        <f>F90/475.9*100</f>
        <v>0.014708972473208659</v>
      </c>
      <c r="M90" s="35">
        <f>E90-'січень-2'!E88</f>
        <v>0</v>
      </c>
      <c r="N90" s="35">
        <f>F90-'січень-2'!F88</f>
        <v>0.04000000000000001</v>
      </c>
      <c r="O90" s="47">
        <f t="shared" si="24"/>
        <v>0.04000000000000001</v>
      </c>
      <c r="P90" s="53"/>
      <c r="Q90" s="53">
        <f>N90-0.04</f>
        <v>0</v>
      </c>
      <c r="R90" s="129">
        <f>N90/0.04</f>
        <v>1.0000000000000002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282.65</v>
      </c>
      <c r="G91" s="43">
        <f t="shared" si="22"/>
        <v>-73.32800000000003</v>
      </c>
      <c r="H91" s="35">
        <f t="shared" si="25"/>
        <v>79.40097421750781</v>
      </c>
      <c r="I91" s="53">
        <f t="shared" si="23"/>
        <v>-11293.35</v>
      </c>
      <c r="J91" s="53">
        <f t="shared" si="26"/>
        <v>2.4416897028334485</v>
      </c>
      <c r="K91" s="53">
        <f>F91-1043.17</f>
        <v>-760.5200000000001</v>
      </c>
      <c r="L91" s="53">
        <f>F91/1043.17*100</f>
        <v>27.095296068713626</v>
      </c>
      <c r="M91" s="35">
        <f>E91-'січень-2'!E89</f>
        <v>96.28000000000003</v>
      </c>
      <c r="N91" s="35">
        <f>F91-'січень-2'!F89</f>
        <v>22.95999999999998</v>
      </c>
      <c r="O91" s="47">
        <f t="shared" si="24"/>
        <v>-73.32000000000005</v>
      </c>
      <c r="P91" s="53">
        <f>N91/M91*100</f>
        <v>23.84711258828414</v>
      </c>
      <c r="Q91" s="53">
        <f>N91-450.01</f>
        <v>-427.05</v>
      </c>
      <c r="R91" s="129">
        <f>N91/450.01</f>
        <v>0.051021088420257286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-2</v>
      </c>
      <c r="G92" s="43">
        <f t="shared" si="22"/>
        <v>-150.1</v>
      </c>
      <c r="H92" s="35">
        <f t="shared" si="25"/>
        <v>-1.350438892640108</v>
      </c>
      <c r="I92" s="53">
        <f t="shared" si="23"/>
        <v>-3002</v>
      </c>
      <c r="J92" s="53">
        <f t="shared" si="26"/>
        <v>-0.06666666666666667</v>
      </c>
      <c r="K92" s="53">
        <f>F92-87.4</f>
        <v>-89.4</v>
      </c>
      <c r="L92" s="53">
        <f>F92/87.4*100</f>
        <v>-2.2883295194508007</v>
      </c>
      <c r="M92" s="35">
        <f>E92-'січень-2'!E90</f>
        <v>148.1</v>
      </c>
      <c r="N92" s="35">
        <f>F92-'січень-2'!F90</f>
        <v>14.04</v>
      </c>
      <c r="O92" s="47">
        <f t="shared" si="24"/>
        <v>-134.06</v>
      </c>
      <c r="P92" s="53">
        <f>N92/M92*100</f>
        <v>9.48008102633356</v>
      </c>
      <c r="Q92" s="53">
        <f>N92-1.05</f>
        <v>12.989999999999998</v>
      </c>
      <c r="R92" s="129">
        <f>N92/1.05</f>
        <v>13.37142857142857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280.71999999999997</v>
      </c>
      <c r="G93" s="55">
        <f t="shared" si="22"/>
        <v>-223.358</v>
      </c>
      <c r="H93" s="65">
        <f t="shared" si="25"/>
        <v>55.68979403981129</v>
      </c>
      <c r="I93" s="54">
        <f t="shared" si="23"/>
        <v>-16795.28</v>
      </c>
      <c r="J93" s="54">
        <f t="shared" si="26"/>
        <v>1.6439447177324897</v>
      </c>
      <c r="K93" s="54">
        <f>F93-1606.47</f>
        <v>-1325.75</v>
      </c>
      <c r="L93" s="54">
        <f>F93/1606.47*100</f>
        <v>17.474338145125646</v>
      </c>
      <c r="M93" s="55">
        <f>M90+M91+M92</f>
        <v>244.38000000000002</v>
      </c>
      <c r="N93" s="55">
        <f>N90+N91+N92</f>
        <v>37.03999999999998</v>
      </c>
      <c r="O93" s="54">
        <f t="shared" si="24"/>
        <v>-207.34000000000003</v>
      </c>
      <c r="P93" s="54">
        <f>N93/M93*100</f>
        <v>15.156723136099506</v>
      </c>
      <c r="Q93" s="54">
        <f>N93-7985.28</f>
        <v>-7948.24</v>
      </c>
      <c r="R93" s="173">
        <f>N93/7985.28</f>
        <v>0.004638534904223769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0.37</v>
      </c>
      <c r="G97" s="43">
        <f>F97-E97</f>
        <v>0.37</v>
      </c>
      <c r="H97" s="35"/>
      <c r="I97" s="53">
        <f>F97-D97</f>
        <v>0.37</v>
      </c>
      <c r="J97" s="53"/>
      <c r="K97" s="53">
        <f>F97-(-0.23)</f>
        <v>0.6</v>
      </c>
      <c r="L97" s="53">
        <f>F97/(-0.23)*100</f>
        <v>-160.86956521739128</v>
      </c>
      <c r="M97" s="35">
        <f>E97-'січень-2'!E95</f>
        <v>0</v>
      </c>
      <c r="N97" s="35">
        <f>F97-'січень-2'!F95</f>
        <v>0.19999999999999998</v>
      </c>
      <c r="O97" s="47">
        <f>N97-M97</f>
        <v>0.19999999999999998</v>
      </c>
      <c r="P97" s="53"/>
      <c r="Q97" s="53">
        <f>N97-(-0.21)</f>
        <v>0.41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0.37</v>
      </c>
      <c r="G98" s="55">
        <f>F98-E98</f>
        <v>0.37</v>
      </c>
      <c r="H98" s="65"/>
      <c r="I98" s="54">
        <f>F98-D98</f>
        <v>-53.63</v>
      </c>
      <c r="J98" s="54">
        <f>F98/D98*100</f>
        <v>0.6851851851851852</v>
      </c>
      <c r="K98" s="54">
        <f>F98-8.69</f>
        <v>-8.32</v>
      </c>
      <c r="L98" s="54">
        <f>F98/8.69*100</f>
        <v>4.25776754890679</v>
      </c>
      <c r="M98" s="55">
        <f>M94+M97+M96</f>
        <v>0</v>
      </c>
      <c r="N98" s="55">
        <f>N94+N97+N96</f>
        <v>0.19999999999999998</v>
      </c>
      <c r="O98" s="54">
        <f>N98-M98</f>
        <v>0.19999999999999998</v>
      </c>
      <c r="P98" s="54"/>
      <c r="Q98" s="54">
        <f>N98-26.38</f>
        <v>-26.18</v>
      </c>
      <c r="R98" s="128">
        <f>N98/26.38</f>
        <v>0.0075815011372251705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0.59</v>
      </c>
      <c r="G99" s="43">
        <f>F99-E99</f>
        <v>-2</v>
      </c>
      <c r="H99" s="35">
        <f>F99/E99*100</f>
        <v>22.779922779922778</v>
      </c>
      <c r="I99" s="53">
        <f>F99-D99</f>
        <v>-41.41</v>
      </c>
      <c r="J99" s="53">
        <f>F99/D99*100</f>
        <v>1.4047619047619047</v>
      </c>
      <c r="K99" s="53">
        <f>F99-1.98</f>
        <v>-1.3900000000000001</v>
      </c>
      <c r="L99" s="53">
        <f>F99/1.98*100</f>
        <v>29.797979797979796</v>
      </c>
      <c r="M99" s="35">
        <f>E99-'січень-2'!E97</f>
        <v>2</v>
      </c>
      <c r="N99" s="35">
        <f>F99-'січень-2'!F97</f>
        <v>0</v>
      </c>
      <c r="O99" s="47">
        <f>N99-M99</f>
        <v>-2</v>
      </c>
      <c r="P99" s="53">
        <f>N99/M99*100</f>
        <v>0</v>
      </c>
      <c r="Q99" s="53">
        <f>N99-0.45</f>
        <v>-0.45</v>
      </c>
      <c r="R99" s="129">
        <f>N99/0.45</f>
        <v>0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273.61999999999995</v>
      </c>
      <c r="G100" s="44">
        <f>F100-E100</f>
        <v>-233.048</v>
      </c>
      <c r="H100" s="45">
        <f>F100/E100*100</f>
        <v>54.003805253144066</v>
      </c>
      <c r="I100" s="31">
        <f>F100-D100</f>
        <v>-16898.38</v>
      </c>
      <c r="J100" s="31">
        <f>F100/D100*100</f>
        <v>1.5934078732820867</v>
      </c>
      <c r="K100" s="31">
        <f>K88+K93+K98+K99</f>
        <v>-1336.3700000000001</v>
      </c>
      <c r="L100" s="31"/>
      <c r="M100" s="27">
        <f>M88+M99+M93+M98</f>
        <v>246.38000000000002</v>
      </c>
      <c r="N100" s="27">
        <f>N88+N99+N93+N98</f>
        <v>24.779999999999976</v>
      </c>
      <c r="O100" s="31">
        <f>N100-M100</f>
        <v>-221.60000000000005</v>
      </c>
      <c r="P100" s="31">
        <f>N100/M100*100</f>
        <v>10.057634548258777</v>
      </c>
      <c r="Q100" s="31">
        <f>N100-8104.96</f>
        <v>-8080.18</v>
      </c>
      <c r="R100" s="127">
        <f>N100/8104.96</f>
        <v>0.003057387081490837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81556.21</v>
      </c>
      <c r="G101" s="44">
        <f>F101-E101</f>
        <v>-142.95799999999872</v>
      </c>
      <c r="H101" s="45">
        <f>F101/E101*100</f>
        <v>99.82501902589755</v>
      </c>
      <c r="I101" s="31">
        <f>F101-D101</f>
        <v>-465638.38999999996</v>
      </c>
      <c r="J101" s="31">
        <f>F101/D101*100</f>
        <v>14.904425226418539</v>
      </c>
      <c r="K101" s="31">
        <f>K82+K100</f>
        <v>5487.338000000006</v>
      </c>
      <c r="L101" s="31"/>
      <c r="M101" s="18">
        <f>M82+M100</f>
        <v>45345.17999999999</v>
      </c>
      <c r="N101" s="18">
        <f>N82+N100</f>
        <v>42568.85399999999</v>
      </c>
      <c r="O101" s="31">
        <f>N101-M101</f>
        <v>-2776.326000000001</v>
      </c>
      <c r="P101" s="31">
        <f>N101/M101*100</f>
        <v>93.87735146271335</v>
      </c>
      <c r="Q101" s="31">
        <f>N101-42872.96</f>
        <v>-304.10600000000704</v>
      </c>
      <c r="R101" s="127">
        <f>N101/42872.96</f>
        <v>0.9929068111928823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4</v>
      </c>
      <c r="D103" s="4" t="s">
        <v>118</v>
      </c>
    </row>
    <row r="104" spans="2:17" ht="31.5">
      <c r="B104" s="71" t="s">
        <v>154</v>
      </c>
      <c r="C104" s="34">
        <f>IF(O82&lt;0,ABS(O82/C103),0)</f>
        <v>638.6815000000006</v>
      </c>
      <c r="D104" s="4" t="s">
        <v>104</v>
      </c>
      <c r="G104" s="194"/>
      <c r="H104" s="194"/>
      <c r="I104" s="194"/>
      <c r="J104" s="194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42058</v>
      </c>
      <c r="D105" s="34">
        <v>1361.5</v>
      </c>
      <c r="N105" s="190"/>
      <c r="O105" s="190"/>
    </row>
    <row r="106" spans="3:15" ht="15.75">
      <c r="C106" s="111">
        <v>42055</v>
      </c>
      <c r="D106" s="34">
        <v>4160.9</v>
      </c>
      <c r="F106" s="155" t="s">
        <v>166</v>
      </c>
      <c r="G106" s="183"/>
      <c r="H106" s="183"/>
      <c r="I106" s="177"/>
      <c r="J106" s="188"/>
      <c r="K106" s="188"/>
      <c r="L106" s="188"/>
      <c r="M106" s="188"/>
      <c r="N106" s="190"/>
      <c r="O106" s="190"/>
    </row>
    <row r="107" spans="3:15" ht="15.75" customHeight="1">
      <c r="C107" s="111">
        <v>42054</v>
      </c>
      <c r="D107" s="34">
        <v>5412.3</v>
      </c>
      <c r="G107" s="187" t="s">
        <v>151</v>
      </c>
      <c r="H107" s="187"/>
      <c r="I107" s="106">
        <v>8909.73221</v>
      </c>
      <c r="J107" s="189"/>
      <c r="K107" s="189"/>
      <c r="L107" s="189"/>
      <c r="M107" s="189"/>
      <c r="N107" s="190"/>
      <c r="O107" s="190"/>
    </row>
    <row r="108" spans="7:13" ht="15.75" customHeight="1">
      <c r="G108" s="191" t="s">
        <v>155</v>
      </c>
      <c r="H108" s="191"/>
      <c r="I108" s="103">
        <v>0</v>
      </c>
      <c r="J108" s="188"/>
      <c r="K108" s="188"/>
      <c r="L108" s="188"/>
      <c r="M108" s="188"/>
    </row>
    <row r="109" spans="2:13" ht="18.75" customHeight="1">
      <c r="B109" s="181" t="s">
        <v>160</v>
      </c>
      <c r="C109" s="182"/>
      <c r="D109" s="108">
        <v>123921.56668999999</v>
      </c>
      <c r="E109" s="73"/>
      <c r="F109" s="156" t="s">
        <v>147</v>
      </c>
      <c r="G109" s="187" t="s">
        <v>149</v>
      </c>
      <c r="H109" s="187"/>
      <c r="I109" s="107">
        <v>115011.83447999999</v>
      </c>
      <c r="J109" s="188"/>
      <c r="K109" s="188"/>
      <c r="L109" s="188"/>
      <c r="M109" s="188"/>
    </row>
    <row r="110" spans="7:12" ht="9.75" customHeight="1">
      <c r="G110" s="183"/>
      <c r="H110" s="183"/>
      <c r="I110" s="90"/>
      <c r="J110" s="91"/>
      <c r="K110" s="91"/>
      <c r="L110" s="91"/>
    </row>
    <row r="111" spans="2:12" ht="22.5" customHeight="1" hidden="1">
      <c r="B111" s="184" t="s">
        <v>167</v>
      </c>
      <c r="C111" s="185"/>
      <c r="D111" s="110">
        <v>0</v>
      </c>
      <c r="E111" s="70" t="s">
        <v>104</v>
      </c>
      <c r="G111" s="183"/>
      <c r="H111" s="183"/>
      <c r="I111" s="90"/>
      <c r="J111" s="91"/>
      <c r="K111" s="91"/>
      <c r="L111" s="91"/>
    </row>
    <row r="112" spans="4:15" ht="15.75">
      <c r="D112" s="105"/>
      <c r="N112" s="183"/>
      <c r="O112" s="183"/>
    </row>
    <row r="113" spans="4:15" ht="15.75">
      <c r="D113" s="104"/>
      <c r="I113" s="34"/>
      <c r="N113" s="186"/>
      <c r="O113" s="186"/>
    </row>
    <row r="114" spans="14:15" ht="15.75">
      <c r="N114" s="183"/>
      <c r="O114" s="18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8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8" t="s">
        <v>193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205</v>
      </c>
      <c r="C3" s="213" t="s">
        <v>0</v>
      </c>
      <c r="D3" s="214" t="s">
        <v>216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220</v>
      </c>
      <c r="N3" s="219" t="s">
        <v>175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219</v>
      </c>
      <c r="F4" s="202" t="s">
        <v>116</v>
      </c>
      <c r="G4" s="204" t="s">
        <v>173</v>
      </c>
      <c r="H4" s="228" t="s">
        <v>174</v>
      </c>
      <c r="I4" s="226" t="s">
        <v>217</v>
      </c>
      <c r="J4" s="224" t="s">
        <v>218</v>
      </c>
      <c r="K4" s="116" t="s">
        <v>172</v>
      </c>
      <c r="L4" s="121" t="s">
        <v>171</v>
      </c>
      <c r="M4" s="195"/>
      <c r="N4" s="197" t="s">
        <v>194</v>
      </c>
      <c r="O4" s="226" t="s">
        <v>136</v>
      </c>
      <c r="P4" s="219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29"/>
      <c r="I5" s="227"/>
      <c r="J5" s="225"/>
      <c r="K5" s="192" t="s">
        <v>188</v>
      </c>
      <c r="L5" s="193"/>
      <c r="M5" s="196"/>
      <c r="N5" s="198"/>
      <c r="O5" s="227"/>
      <c r="P5" s="219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81.9</v>
      </c>
      <c r="G76" s="43">
        <f t="shared" si="13"/>
        <v>81.9</v>
      </c>
      <c r="H76" s="35"/>
      <c r="I76" s="50">
        <f t="shared" si="15"/>
        <v>81.9</v>
      </c>
      <c r="J76" s="136"/>
      <c r="K76" s="136">
        <f>F76-64.93</f>
        <v>16.97</v>
      </c>
      <c r="L76" s="138">
        <f>F76/64.93*100</f>
        <v>126.13583859541045</v>
      </c>
      <c r="M76" s="35">
        <f t="shared" si="20"/>
        <v>0</v>
      </c>
      <c r="N76" s="35">
        <f t="shared" si="21"/>
        <v>81.9</v>
      </c>
      <c r="O76" s="47"/>
      <c r="P76" s="50"/>
      <c r="Q76" s="50">
        <f>N76-64.93</f>
        <v>16.97</v>
      </c>
      <c r="R76" s="126">
        <f>N76/64.93</f>
        <v>1.2613583859541044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194"/>
      <c r="H102" s="194"/>
      <c r="I102" s="194"/>
      <c r="J102" s="194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0"/>
      <c r="O103" s="190"/>
    </row>
    <row r="104" spans="3:15" ht="15.75">
      <c r="C104" s="111">
        <v>42033</v>
      </c>
      <c r="D104" s="34">
        <v>2896.5</v>
      </c>
      <c r="F104" s="155" t="s">
        <v>166</v>
      </c>
      <c r="G104" s="187" t="s">
        <v>151</v>
      </c>
      <c r="H104" s="187"/>
      <c r="I104" s="106">
        <f>'січень '!I139</f>
        <v>8909.733</v>
      </c>
      <c r="J104" s="222" t="s">
        <v>161</v>
      </c>
      <c r="K104" s="222"/>
      <c r="L104" s="222"/>
      <c r="M104" s="222"/>
      <c r="N104" s="190"/>
      <c r="O104" s="190"/>
    </row>
    <row r="105" spans="3:15" ht="15.75">
      <c r="C105" s="111">
        <v>42032</v>
      </c>
      <c r="D105" s="34">
        <v>2838.1</v>
      </c>
      <c r="G105" s="191" t="s">
        <v>155</v>
      </c>
      <c r="H105" s="191"/>
      <c r="I105" s="103">
        <f>'січень '!I140</f>
        <v>0</v>
      </c>
      <c r="J105" s="223" t="s">
        <v>162</v>
      </c>
      <c r="K105" s="223"/>
      <c r="L105" s="223"/>
      <c r="M105" s="223"/>
      <c r="N105" s="190"/>
      <c r="O105" s="190"/>
    </row>
    <row r="106" spans="7:13" ht="15.75" customHeight="1">
      <c r="G106" s="187" t="s">
        <v>148</v>
      </c>
      <c r="H106" s="187"/>
      <c r="I106" s="103">
        <f>'січень '!I141</f>
        <v>0</v>
      </c>
      <c r="J106" s="222" t="s">
        <v>163</v>
      </c>
      <c r="K106" s="222"/>
      <c r="L106" s="222"/>
      <c r="M106" s="222"/>
    </row>
    <row r="107" spans="2:13" ht="18.75" customHeight="1">
      <c r="B107" s="181" t="s">
        <v>160</v>
      </c>
      <c r="C107" s="182"/>
      <c r="D107" s="108">
        <f>'січень '!D142</f>
        <v>132375.63</v>
      </c>
      <c r="E107" s="73"/>
      <c r="F107" s="156" t="s">
        <v>147</v>
      </c>
      <c r="G107" s="187" t="s">
        <v>149</v>
      </c>
      <c r="H107" s="187"/>
      <c r="I107" s="107">
        <f>'січень '!I142</f>
        <v>123465.893</v>
      </c>
      <c r="J107" s="222" t="s">
        <v>164</v>
      </c>
      <c r="K107" s="222"/>
      <c r="L107" s="222"/>
      <c r="M107" s="222"/>
    </row>
    <row r="108" spans="7:12" ht="9.75" customHeight="1">
      <c r="G108" s="183"/>
      <c r="H108" s="183"/>
      <c r="I108" s="90"/>
      <c r="J108" s="91"/>
      <c r="K108" s="91"/>
      <c r="L108" s="91"/>
    </row>
    <row r="109" spans="2:12" ht="22.5" customHeight="1" hidden="1">
      <c r="B109" s="184" t="s">
        <v>167</v>
      </c>
      <c r="C109" s="185"/>
      <c r="D109" s="110">
        <v>0</v>
      </c>
      <c r="E109" s="70" t="s">
        <v>104</v>
      </c>
      <c r="G109" s="183"/>
      <c r="H109" s="183"/>
      <c r="I109" s="90"/>
      <c r="J109" s="91"/>
      <c r="K109" s="91"/>
      <c r="L109" s="91"/>
    </row>
    <row r="110" spans="4:15" ht="15.75">
      <c r="D110" s="105"/>
      <c r="N110" s="183"/>
      <c r="O110" s="183"/>
    </row>
    <row r="111" spans="4:15" ht="15.75">
      <c r="D111" s="104"/>
      <c r="I111" s="34"/>
      <c r="N111" s="186"/>
      <c r="O111" s="186"/>
    </row>
    <row r="112" spans="14:15" ht="15.75">
      <c r="N112" s="183"/>
      <c r="O112" s="18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2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37" sqref="F13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8" t="s">
        <v>193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203</v>
      </c>
      <c r="C3" s="213" t="s">
        <v>0</v>
      </c>
      <c r="D3" s="214" t="s">
        <v>190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187</v>
      </c>
      <c r="N3" s="219" t="s">
        <v>175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153</v>
      </c>
      <c r="F4" s="202" t="s">
        <v>116</v>
      </c>
      <c r="G4" s="204" t="s">
        <v>173</v>
      </c>
      <c r="H4" s="228" t="s">
        <v>174</v>
      </c>
      <c r="I4" s="226" t="s">
        <v>186</v>
      </c>
      <c r="J4" s="224" t="s">
        <v>189</v>
      </c>
      <c r="K4" s="116" t="s">
        <v>172</v>
      </c>
      <c r="L4" s="121" t="s">
        <v>171</v>
      </c>
      <c r="M4" s="195"/>
      <c r="N4" s="197" t="s">
        <v>194</v>
      </c>
      <c r="O4" s="226" t="s">
        <v>136</v>
      </c>
      <c r="P4" s="219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29"/>
      <c r="I5" s="227"/>
      <c r="J5" s="225"/>
      <c r="K5" s="192" t="s">
        <v>188</v>
      </c>
      <c r="L5" s="193"/>
      <c r="M5" s="196"/>
      <c r="N5" s="198"/>
      <c r="O5" s="227"/>
      <c r="P5" s="219"/>
      <c r="Q5" s="192" t="s">
        <v>176</v>
      </c>
      <c r="R5" s="193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81.9</v>
      </c>
      <c r="G102" s="135"/>
      <c r="H102" s="137"/>
      <c r="I102" s="136"/>
      <c r="J102" s="136"/>
      <c r="K102" s="136">
        <f>F102-64.93</f>
        <v>16.97</v>
      </c>
      <c r="L102" s="138">
        <f>F102/64.93*100</f>
        <v>126.13583859541045</v>
      </c>
      <c r="M102" s="35">
        <f t="shared" si="39"/>
        <v>0</v>
      </c>
      <c r="N102" s="35">
        <f t="shared" si="40"/>
        <v>81.9</v>
      </c>
      <c r="O102" s="47"/>
      <c r="P102" s="50"/>
      <c r="Q102" s="50">
        <f>N102-64.93</f>
        <v>16.97</v>
      </c>
      <c r="R102" s="126">
        <f>N102/64.93</f>
        <v>1.2613583859541044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94"/>
      <c r="H137" s="194"/>
      <c r="I137" s="194"/>
      <c r="J137" s="194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0"/>
      <c r="O138" s="190"/>
    </row>
    <row r="139" spans="3:15" ht="15.75">
      <c r="C139" s="111">
        <v>42033</v>
      </c>
      <c r="D139" s="34">
        <v>2896.5</v>
      </c>
      <c r="F139" s="155" t="s">
        <v>166</v>
      </c>
      <c r="G139" s="187" t="s">
        <v>151</v>
      </c>
      <c r="H139" s="187"/>
      <c r="I139" s="106">
        <f>8909.733</f>
        <v>8909.733</v>
      </c>
      <c r="J139" s="222" t="s">
        <v>161</v>
      </c>
      <c r="K139" s="222"/>
      <c r="L139" s="222"/>
      <c r="M139" s="222"/>
      <c r="N139" s="190"/>
      <c r="O139" s="190"/>
    </row>
    <row r="140" spans="3:15" ht="15.75">
      <c r="C140" s="111">
        <v>42032</v>
      </c>
      <c r="D140" s="34">
        <v>2838.1</v>
      </c>
      <c r="G140" s="191" t="s">
        <v>155</v>
      </c>
      <c r="H140" s="191"/>
      <c r="I140" s="103">
        <v>0</v>
      </c>
      <c r="J140" s="223" t="s">
        <v>162</v>
      </c>
      <c r="K140" s="223"/>
      <c r="L140" s="223"/>
      <c r="M140" s="223"/>
      <c r="N140" s="190"/>
      <c r="O140" s="190"/>
    </row>
    <row r="141" spans="7:13" ht="15.75" customHeight="1">
      <c r="G141" s="187" t="s">
        <v>148</v>
      </c>
      <c r="H141" s="187"/>
      <c r="I141" s="103">
        <v>0</v>
      </c>
      <c r="J141" s="222" t="s">
        <v>163</v>
      </c>
      <c r="K141" s="222"/>
      <c r="L141" s="222"/>
      <c r="M141" s="222"/>
    </row>
    <row r="142" spans="2:13" ht="18.75" customHeight="1">
      <c r="B142" s="181" t="s">
        <v>160</v>
      </c>
      <c r="C142" s="182"/>
      <c r="D142" s="108">
        <f>132375.63</f>
        <v>132375.63</v>
      </c>
      <c r="E142" s="73"/>
      <c r="F142" s="156" t="s">
        <v>147</v>
      </c>
      <c r="G142" s="187" t="s">
        <v>149</v>
      </c>
      <c r="H142" s="187"/>
      <c r="I142" s="107">
        <f>123465.893</f>
        <v>123465.893</v>
      </c>
      <c r="J142" s="222" t="s">
        <v>164</v>
      </c>
      <c r="K142" s="222"/>
      <c r="L142" s="222"/>
      <c r="M142" s="222"/>
    </row>
    <row r="143" spans="7:12" ht="9.75" customHeight="1">
      <c r="G143" s="183"/>
      <c r="H143" s="183"/>
      <c r="I143" s="90"/>
      <c r="J143" s="91"/>
      <c r="K143" s="91"/>
      <c r="L143" s="91"/>
    </row>
    <row r="144" spans="2:12" ht="22.5" customHeight="1" hidden="1">
      <c r="B144" s="184" t="s">
        <v>167</v>
      </c>
      <c r="C144" s="185"/>
      <c r="D144" s="110">
        <v>0</v>
      </c>
      <c r="E144" s="70" t="s">
        <v>104</v>
      </c>
      <c r="G144" s="183"/>
      <c r="H144" s="183"/>
      <c r="I144" s="90"/>
      <c r="J144" s="91"/>
      <c r="K144" s="91"/>
      <c r="L144" s="91"/>
    </row>
    <row r="145" spans="4:15" ht="15.75">
      <c r="D145" s="105"/>
      <c r="N145" s="183"/>
      <c r="O145" s="183"/>
    </row>
    <row r="146" spans="4:15" ht="15.75">
      <c r="D146" s="104"/>
      <c r="I146" s="34"/>
      <c r="N146" s="186"/>
      <c r="O146" s="186"/>
    </row>
    <row r="147" spans="14:15" ht="15.75">
      <c r="N147" s="183"/>
      <c r="O147" s="18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2015-02-24T09:40:06Z</cp:lastPrinted>
  <dcterms:created xsi:type="dcterms:W3CDTF">2003-07-28T11:27:56Z</dcterms:created>
  <dcterms:modified xsi:type="dcterms:W3CDTF">2015-02-24T10:02:23Z</dcterms:modified>
  <cp:category/>
  <cp:version/>
  <cp:contentType/>
  <cp:contentStatus/>
</cp:coreProperties>
</file>